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howest-my.sharepoint.com/personal/emma_senesael_student_howest_be/Documents/School TA4/BT/EINDOPDRACHT/INDIENEN/"/>
    </mc:Choice>
  </mc:AlternateContent>
  <xr:revisionPtr revIDLastSave="549" documentId="8_{D869DA67-AFBB-4CCE-8B36-F2805B9AA7E4}" xr6:coauthVersionLast="47" xr6:coauthVersionMax="47" xr10:uidLastSave="{7E96BF37-A7D6-46D6-9C5E-2370217C237F}"/>
  <bookViews>
    <workbookView xWindow="-108" yWindow="-108" windowWidth="23256" windowHeight="12576" xr2:uid="{0EB43842-3E6D-4287-B8BD-F5DD60CB20A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9" i="1" l="1"/>
  <c r="V35" i="1"/>
  <c r="P49" i="1"/>
  <c r="T12" i="1"/>
  <c r="O14" i="1"/>
  <c r="P35" i="1" l="1"/>
  <c r="AA18" i="1"/>
  <c r="AA27" i="1" s="1"/>
  <c r="AA12" i="1"/>
  <c r="AG12" i="1" s="1"/>
  <c r="AA3" i="1"/>
  <c r="T27" i="1"/>
  <c r="T22" i="1"/>
  <c r="T3" i="1"/>
  <c r="T18" i="1"/>
  <c r="T7" i="1"/>
  <c r="AG27" i="1" l="1"/>
  <c r="V34" i="1" s="1"/>
  <c r="P34" i="1"/>
  <c r="K7" i="1"/>
  <c r="K5" i="1"/>
  <c r="K9" i="1"/>
  <c r="O9" i="1" s="1"/>
  <c r="K8" i="1"/>
  <c r="K6" i="1"/>
  <c r="I6" i="1"/>
  <c r="K13" i="1"/>
  <c r="K11" i="1"/>
  <c r="K12" i="1" s="1"/>
  <c r="O12" i="1" s="1"/>
  <c r="K10" i="1"/>
  <c r="K4" i="1"/>
  <c r="I13" i="1"/>
  <c r="I12" i="1"/>
  <c r="I11" i="1"/>
  <c r="I10" i="1"/>
  <c r="I8" i="1"/>
  <c r="I7" i="1"/>
  <c r="I5" i="1"/>
  <c r="I4" i="1"/>
  <c r="K23" i="1"/>
  <c r="K22" i="1"/>
  <c r="K20" i="1"/>
  <c r="K21" i="1"/>
  <c r="K19" i="1" s="1"/>
  <c r="I23" i="1"/>
  <c r="I22" i="1"/>
  <c r="I21" i="1"/>
  <c r="I20" i="1"/>
  <c r="I19" i="1"/>
  <c r="I34" i="1" l="1"/>
  <c r="I39" i="1" s="1"/>
  <c r="I45" i="1" s="1"/>
  <c r="V36" i="1"/>
  <c r="V50" i="1"/>
  <c r="P36" i="1"/>
  <c r="P50" i="1"/>
  <c r="O19" i="1"/>
  <c r="O20" i="1"/>
  <c r="O21" i="1"/>
  <c r="O8" i="1"/>
  <c r="O6" i="1"/>
  <c r="O13" i="1"/>
  <c r="O11" i="1"/>
  <c r="O10" i="1"/>
  <c r="O5" i="1"/>
  <c r="O4" i="1"/>
  <c r="O7" i="1"/>
  <c r="O22" i="1"/>
  <c r="O23" i="1"/>
  <c r="O24" i="1" l="1"/>
</calcChain>
</file>

<file path=xl/sharedStrings.xml><?xml version="1.0" encoding="utf-8"?>
<sst xmlns="http://schemas.openxmlformats.org/spreadsheetml/2006/main" count="192" uniqueCount="103">
  <si>
    <t>U-waarde (W/m².K)</t>
  </si>
  <si>
    <t>Binnendeur</t>
  </si>
  <si>
    <t>Binnenmuur</t>
  </si>
  <si>
    <t>Ramen</t>
  </si>
  <si>
    <t>Buitenmuur</t>
  </si>
  <si>
    <t>Constructiedeel</t>
  </si>
  <si>
    <t xml:space="preserve">Vloer boven buitenomgeving </t>
  </si>
  <si>
    <t>Plat dak - Terras</t>
  </si>
  <si>
    <t xml:space="preserve">Binnenmuur </t>
  </si>
  <si>
    <t xml:space="preserve">Scheidingsmuur </t>
  </si>
  <si>
    <t>Nr.</t>
  </si>
  <si>
    <t>U-waarde (W/m²K)</t>
  </si>
  <si>
    <t>Oppervlakte (m²)</t>
  </si>
  <si>
    <t>Berekening</t>
  </si>
  <si>
    <r>
      <rPr>
        <sz val="11"/>
        <color theme="1"/>
        <rFont val="Calibri"/>
        <family val="2"/>
      </rPr>
      <t>∆</t>
    </r>
    <r>
      <rPr>
        <sz val="11"/>
        <color theme="1"/>
        <rFont val="Calibri"/>
        <family val="2"/>
        <scheme val="minor"/>
      </rPr>
      <t>T (K)</t>
    </r>
  </si>
  <si>
    <r>
      <t xml:space="preserve">Warmtestroom </t>
    </r>
    <r>
      <rPr>
        <sz val="11"/>
        <color theme="1"/>
        <rFont val="Calibri"/>
        <family val="2"/>
      </rPr>
      <t>ɸ (W)</t>
    </r>
  </si>
  <si>
    <t>Raam</t>
  </si>
  <si>
    <t>Scheidingsmuur</t>
  </si>
  <si>
    <t>Plafond - Verdiepingsvloer</t>
  </si>
  <si>
    <t>(24 - 20)=</t>
  </si>
  <si>
    <t>(24 - 24) =</t>
  </si>
  <si>
    <t>Vloer buitenomgeving</t>
  </si>
  <si>
    <t>Plafond - Terras</t>
  </si>
  <si>
    <t>(24-(-10))=</t>
  </si>
  <si>
    <t>Scheidingsmuur - Badkamer Buur 1</t>
  </si>
  <si>
    <t>(20 - 20)=</t>
  </si>
  <si>
    <t>(20 - 24)=</t>
  </si>
  <si>
    <t>Binnendeur - Gemeenschappelijke Ruimte</t>
  </si>
  <si>
    <t>Binnendeur - Badkamer Studio 1</t>
  </si>
  <si>
    <t>(20 -(-10))=</t>
  </si>
  <si>
    <t>TRANSMISSIE VERLIEZEN STUDIO 1</t>
  </si>
  <si>
    <t>Totaal ɸ:</t>
  </si>
  <si>
    <t>m³/h</t>
  </si>
  <si>
    <t>K</t>
  </si>
  <si>
    <t>β</t>
  </si>
  <si>
    <t>/</t>
  </si>
  <si>
    <t>Ventilatieverliezen ɸ (W)</t>
  </si>
  <si>
    <t xml:space="preserve">Totaal:  </t>
  </si>
  <si>
    <t>VENTILATIE VERLIEZEN STUDIO 1</t>
  </si>
  <si>
    <r>
      <t>Q</t>
    </r>
    <r>
      <rPr>
        <sz val="8"/>
        <color theme="1"/>
        <rFont val="Calibri"/>
        <family val="2"/>
        <scheme val="minor"/>
      </rPr>
      <t>v</t>
    </r>
  </si>
  <si>
    <r>
      <t>Q</t>
    </r>
    <r>
      <rPr>
        <sz val="8"/>
        <color theme="1"/>
        <rFont val="Calibri"/>
        <family val="2"/>
        <scheme val="minor"/>
      </rPr>
      <t>v-min</t>
    </r>
  </si>
  <si>
    <t xml:space="preserve">Ventilatieverliezen </t>
  </si>
  <si>
    <t>A *3,6 m³/hs³</t>
  </si>
  <si>
    <r>
      <t>Q</t>
    </r>
    <r>
      <rPr>
        <sz val="8"/>
        <rFont val="Calibri"/>
        <family val="2"/>
        <scheme val="minor"/>
      </rPr>
      <t>v</t>
    </r>
  </si>
  <si>
    <t>Ventilatiesysteem:</t>
  </si>
  <si>
    <t>D</t>
  </si>
  <si>
    <t>Rendement warmtewisselaar:</t>
  </si>
  <si>
    <t>%</t>
  </si>
  <si>
    <t>0,34 x Q x dT x (1-B)</t>
  </si>
  <si>
    <t xml:space="preserve">Ventilatie Debiet </t>
  </si>
  <si>
    <t xml:space="preserve">Transmissieverliezen </t>
  </si>
  <si>
    <t>U x A x dT</t>
  </si>
  <si>
    <r>
      <t>A</t>
    </r>
    <r>
      <rPr>
        <sz val="8"/>
        <color theme="1"/>
        <rFont val="Calibri"/>
        <family val="2"/>
        <scheme val="minor"/>
      </rPr>
      <t xml:space="preserve">factor </t>
    </r>
  </si>
  <si>
    <t>m²</t>
  </si>
  <si>
    <r>
      <rPr>
        <sz val="12"/>
        <color theme="1"/>
        <rFont val="Calibri"/>
        <family val="2"/>
        <scheme val="minor"/>
      </rPr>
      <t>F</t>
    </r>
    <r>
      <rPr>
        <sz val="8"/>
        <color theme="1"/>
        <rFont val="Calibri"/>
        <family val="2"/>
        <scheme val="minor"/>
      </rPr>
      <t>rh</t>
    </r>
  </si>
  <si>
    <t>W/m²</t>
  </si>
  <si>
    <t xml:space="preserve">goedgekeurd, goed luchtdicht </t>
  </si>
  <si>
    <t>1K tijdens setback</t>
  </si>
  <si>
    <t>Reactietime gekozen op 2h</t>
  </si>
  <si>
    <t>Totaal:</t>
  </si>
  <si>
    <t>HEATING-UP CAPACITY STUDIO 1</t>
  </si>
  <si>
    <t>Heating-up capacity ɸ (W)</t>
  </si>
  <si>
    <t>Afactor  x Frh</t>
  </si>
  <si>
    <t>Heating-up capacity</t>
  </si>
  <si>
    <t>Totale verliezen ɸ (W)</t>
  </si>
  <si>
    <t>Totale warmteverlies van alle ruimtes</t>
  </si>
  <si>
    <t xml:space="preserve">10 % bijkomende reserververmogen in rekening brengen </t>
  </si>
  <si>
    <t>Vermogen: ɸtot *1,1</t>
  </si>
  <si>
    <r>
      <t>Vermogen opwekkingstoestel: ɸ</t>
    </r>
    <r>
      <rPr>
        <sz val="8"/>
        <color theme="1"/>
        <rFont val="Calibri"/>
        <family val="2"/>
        <scheme val="minor"/>
      </rPr>
      <t xml:space="preserve">tot </t>
    </r>
    <r>
      <rPr>
        <sz val="12"/>
        <color theme="1"/>
        <rFont val="Calibri"/>
        <family val="2"/>
        <scheme val="minor"/>
      </rPr>
      <t>*1,1</t>
    </r>
  </si>
  <si>
    <t>Rekening houdend met het bijkomende vermogen voor:</t>
  </si>
  <si>
    <t>Sanitair Warm Water: 2,3 kW</t>
  </si>
  <si>
    <t>SWW: +2,3 kW</t>
  </si>
  <si>
    <t>Totale Vermogen Opwekkingstoestel (W)</t>
  </si>
  <si>
    <t>mm</t>
  </si>
  <si>
    <t>W</t>
  </si>
  <si>
    <t xml:space="preserve">Totale Verliezen </t>
  </si>
  <si>
    <t>45/35/20</t>
  </si>
  <si>
    <r>
      <t>Bruikbare Oppervlakte A</t>
    </r>
    <r>
      <rPr>
        <sz val="8"/>
        <color theme="1"/>
        <rFont val="Calibri"/>
        <family val="2"/>
        <scheme val="minor"/>
      </rPr>
      <t>W</t>
    </r>
  </si>
  <si>
    <t>P per m² (W/m²)</t>
  </si>
  <si>
    <t>Regime:</t>
  </si>
  <si>
    <t>Legafstand:</t>
  </si>
  <si>
    <t>P- keuze vloerverwarming per m²:</t>
  </si>
  <si>
    <t>P - Vloerverwarming bruikbare oppervlakte</t>
  </si>
  <si>
    <t>Radiatoren bijplaatsen:</t>
  </si>
  <si>
    <t>Regime vloerveerwarming:</t>
  </si>
  <si>
    <t>TRANSMISSIEVERLIEZEN BADKAMER 1</t>
  </si>
  <si>
    <t>VENTILATIE VERLIEZEN BADKAMER 1</t>
  </si>
  <si>
    <t>HEATING-UP CAPACITY BADKAMER 1</t>
  </si>
  <si>
    <t>Warmtewinsten - NR</t>
  </si>
  <si>
    <t>Locatie:</t>
  </si>
  <si>
    <t>°C</t>
  </si>
  <si>
    <t>Brussel</t>
  </si>
  <si>
    <t>Buitentemperatuur:</t>
  </si>
  <si>
    <t>35/25/20</t>
  </si>
  <si>
    <t>Op zoek gaan in technische fiche naar Legafstand:</t>
  </si>
  <si>
    <t>Uitrekenen totale vermogen a.d.h.v. keuze vloerverwarming :</t>
  </si>
  <si>
    <t>OPWEKKINGSTOESTEL</t>
  </si>
  <si>
    <t>VLOERVERWARMING STUDIO 1</t>
  </si>
  <si>
    <t>VLOERVERWARMING BADKAMER 1</t>
  </si>
  <si>
    <t>We beslissen om STUDIO 1 enkel met vloerverwarming op te warmen</t>
  </si>
  <si>
    <t>We beslissen om BADKAMER 1 enkel met vloerverwarming op te warmen</t>
  </si>
  <si>
    <t>35/25/24</t>
  </si>
  <si>
    <t>Onrealistisch regime in opdracht omwille van kleine oppervlakte: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</si>
</sst>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0" fillId="2" borderId="7" xfId="0" applyFill="1" applyBorder="1"/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0" fillId="0" borderId="11" xfId="0" applyFill="1" applyBorder="1" applyAlignment="1"/>
    <xf numFmtId="0" fontId="0" fillId="0" borderId="12" xfId="0" applyBorder="1" applyAlignment="1">
      <alignment horizontal="right"/>
    </xf>
    <xf numFmtId="2" fontId="0" fillId="0" borderId="0" xfId="0" applyNumberFormat="1" applyBorder="1" applyAlignment="1">
      <alignment horizontal="right"/>
    </xf>
    <xf numFmtId="0" fontId="0" fillId="0" borderId="12" xfId="0" applyBorder="1"/>
    <xf numFmtId="0" fontId="0" fillId="0" borderId="15" xfId="0" applyBorder="1" applyAlignment="1">
      <alignment horizontal="center"/>
    </xf>
    <xf numFmtId="0" fontId="0" fillId="0" borderId="0" xfId="0" applyBorder="1"/>
    <xf numFmtId="2" fontId="0" fillId="0" borderId="8" xfId="0" applyNumberFormat="1" applyBorder="1" applyAlignment="1">
      <alignment horizontal="center"/>
    </xf>
    <xf numFmtId="2" fontId="0" fillId="2" borderId="9" xfId="0" applyNumberFormat="1" applyFill="1" applyBorder="1" applyAlignment="1">
      <alignment horizontal="right"/>
    </xf>
    <xf numFmtId="2" fontId="0" fillId="2" borderId="15" xfId="0" applyNumberFormat="1" applyFill="1" applyBorder="1" applyAlignment="1">
      <alignment horizontal="right"/>
    </xf>
    <xf numFmtId="2" fontId="0" fillId="0" borderId="9" xfId="0" applyNumberFormat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2" fontId="0" fillId="0" borderId="7" xfId="0" applyNumberFormat="1" applyBorder="1"/>
    <xf numFmtId="0" fontId="3" fillId="0" borderId="0" xfId="0" applyFont="1"/>
    <xf numFmtId="0" fontId="4" fillId="0" borderId="0" xfId="0" applyFont="1"/>
    <xf numFmtId="0" fontId="0" fillId="4" borderId="7" xfId="0" applyFill="1" applyBorder="1"/>
    <xf numFmtId="0" fontId="0" fillId="0" borderId="19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1" xfId="0" applyBorder="1"/>
    <xf numFmtId="0" fontId="0" fillId="0" borderId="2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8" xfId="0" applyFill="1" applyBorder="1"/>
    <xf numFmtId="0" fontId="0" fillId="2" borderId="9" xfId="0" applyFill="1" applyBorder="1"/>
    <xf numFmtId="0" fontId="0" fillId="4" borderId="0" xfId="0" applyFill="1"/>
    <xf numFmtId="0" fontId="0" fillId="3" borderId="7" xfId="0" applyFill="1" applyBorder="1"/>
    <xf numFmtId="2" fontId="0" fillId="2" borderId="7" xfId="0" applyNumberFormat="1" applyFill="1" applyBorder="1"/>
    <xf numFmtId="2" fontId="0" fillId="3" borderId="7" xfId="0" applyNumberFormat="1" applyFill="1" applyBorder="1"/>
    <xf numFmtId="0" fontId="0" fillId="5" borderId="0" xfId="0" applyFill="1"/>
    <xf numFmtId="0" fontId="0" fillId="0" borderId="7" xfId="0" applyFill="1" applyBorder="1"/>
    <xf numFmtId="2" fontId="0" fillId="0" borderId="7" xfId="0" applyNumberFormat="1" applyFill="1" applyBorder="1" applyAlignment="1">
      <alignment horizontal="right"/>
    </xf>
    <xf numFmtId="2" fontId="0" fillId="2" borderId="7" xfId="0" applyNumberFormat="1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2" fontId="0" fillId="0" borderId="0" xfId="0" applyNumberFormat="1" applyFill="1" applyBorder="1"/>
    <xf numFmtId="0" fontId="3" fillId="0" borderId="0" xfId="0" applyFont="1" applyFill="1" applyBorder="1"/>
    <xf numFmtId="2" fontId="0" fillId="2" borderId="8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0" fillId="4" borderId="17" xfId="0" applyFill="1" applyBorder="1" applyAlignment="1">
      <alignment horizontal="center"/>
    </xf>
    <xf numFmtId="0" fontId="0" fillId="3" borderId="8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2" fontId="0" fillId="2" borderId="8" xfId="0" applyNumberFormat="1" applyFill="1" applyBorder="1" applyAlignment="1">
      <alignment horizontal="right"/>
    </xf>
    <xf numFmtId="2" fontId="0" fillId="2" borderId="9" xfId="0" applyNumberFormat="1" applyFill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5" borderId="7" xfId="0" applyFill="1" applyBorder="1"/>
    <xf numFmtId="2" fontId="0" fillId="5" borderId="8" xfId="0" applyNumberFormat="1" applyFill="1" applyBorder="1" applyAlignment="1">
      <alignment horizontal="center"/>
    </xf>
    <xf numFmtId="2" fontId="0" fillId="5" borderId="9" xfId="0" applyNumberForma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896E4-51FE-48F2-AD33-382FC7FF6317}">
  <dimension ref="B2:AQ52"/>
  <sheetViews>
    <sheetView tabSelected="1" zoomScale="69" zoomScaleNormal="85" workbookViewId="0">
      <selection activeCell="AD34" sqref="AD34"/>
    </sheetView>
  </sheetViews>
  <sheetFormatPr defaultRowHeight="14.4" x14ac:dyDescent="0.3"/>
  <cols>
    <col min="2" max="2" width="27.6640625" customWidth="1"/>
    <col min="3" max="3" width="18" customWidth="1"/>
    <col min="8" max="8" width="27.21875" customWidth="1"/>
    <col min="10" max="10" width="7.88671875" customWidth="1"/>
    <col min="12" max="12" width="6.21875" customWidth="1"/>
    <col min="13" max="13" width="13.5546875" customWidth="1"/>
    <col min="15" max="15" width="15.44140625" customWidth="1"/>
    <col min="16" max="16" width="10.44140625" customWidth="1"/>
    <col min="17" max="17" width="19" customWidth="1"/>
    <col min="20" max="20" width="11.44140625" customWidth="1"/>
    <col min="21" max="21" width="18.88671875" customWidth="1"/>
    <col min="22" max="22" width="12.33203125" customWidth="1"/>
    <col min="23" max="23" width="15.33203125" customWidth="1"/>
    <col min="27" max="27" width="11.44140625" customWidth="1"/>
    <col min="30" max="30" width="11.88671875" customWidth="1"/>
    <col min="47" max="47" width="8.88671875" customWidth="1"/>
  </cols>
  <sheetData>
    <row r="2" spans="2:43" ht="15" thickBot="1" x14ac:dyDescent="0.35">
      <c r="B2" t="s">
        <v>5</v>
      </c>
      <c r="C2" s="4" t="s">
        <v>0</v>
      </c>
      <c r="F2" s="43" t="s">
        <v>30</v>
      </c>
      <c r="G2" s="43"/>
      <c r="H2" s="43"/>
      <c r="S2" s="43" t="s">
        <v>38</v>
      </c>
      <c r="T2" s="43"/>
      <c r="U2" s="43"/>
      <c r="Z2" s="43" t="s">
        <v>60</v>
      </c>
      <c r="AA2" s="43"/>
      <c r="AB2" s="43"/>
      <c r="AK2" s="26"/>
      <c r="AL2" s="26"/>
      <c r="AM2" s="26"/>
      <c r="AN2" s="26"/>
      <c r="AO2" s="26"/>
      <c r="AP2" s="26"/>
      <c r="AQ2" s="26"/>
    </row>
    <row r="3" spans="2:43" x14ac:dyDescent="0.3">
      <c r="B3" s="3" t="s">
        <v>4</v>
      </c>
      <c r="C3" s="5">
        <v>0.14000000000000001</v>
      </c>
      <c r="F3" s="8" t="s">
        <v>10</v>
      </c>
      <c r="G3" s="8" t="s">
        <v>5</v>
      </c>
      <c r="H3" s="8"/>
      <c r="I3" s="8" t="s">
        <v>11</v>
      </c>
      <c r="J3" s="8"/>
      <c r="K3" s="8" t="s">
        <v>12</v>
      </c>
      <c r="L3" s="8"/>
      <c r="M3" s="9" t="s">
        <v>13</v>
      </c>
      <c r="N3" s="8" t="s">
        <v>14</v>
      </c>
      <c r="O3" s="8" t="s">
        <v>15</v>
      </c>
      <c r="P3" s="8"/>
      <c r="Q3" s="48" t="s">
        <v>88</v>
      </c>
      <c r="R3" s="26"/>
      <c r="S3" s="8" t="s">
        <v>39</v>
      </c>
      <c r="T3" s="28">
        <f xml:space="preserve"> ((1.38*4.19)+(1.55*7.93))*2.6</f>
        <v>46.991619999999998</v>
      </c>
      <c r="U3" s="10" t="s">
        <v>32</v>
      </c>
      <c r="W3" s="29" t="s">
        <v>49</v>
      </c>
      <c r="Z3" s="8" t="s">
        <v>52</v>
      </c>
      <c r="AA3" s="28">
        <f xml:space="preserve"> (1.38*4.19)+(1.55*7.93)</f>
        <v>18.073699999999999</v>
      </c>
      <c r="AB3" s="10" t="s">
        <v>53</v>
      </c>
      <c r="AK3" s="27"/>
      <c r="AL3" s="27"/>
      <c r="AM3" s="27"/>
      <c r="AN3" s="27"/>
      <c r="AO3" s="27"/>
      <c r="AP3" s="27"/>
      <c r="AQ3" s="27"/>
    </row>
    <row r="4" spans="2:43" ht="15.6" x14ac:dyDescent="0.3">
      <c r="B4" s="2" t="s">
        <v>8</v>
      </c>
      <c r="C4" s="6">
        <v>0.34</v>
      </c>
      <c r="F4" s="8">
        <v>1</v>
      </c>
      <c r="G4" s="15" t="s">
        <v>4</v>
      </c>
      <c r="H4" s="13"/>
      <c r="I4" s="56">
        <f>C3</f>
        <v>0.14000000000000001</v>
      </c>
      <c r="J4" s="57"/>
      <c r="K4" s="56">
        <f xml:space="preserve"> ((1.8+1.5)*3.33)</f>
        <v>10.988999999999999</v>
      </c>
      <c r="L4" s="57"/>
      <c r="M4" s="23" t="s">
        <v>29</v>
      </c>
      <c r="N4" s="10">
        <v>30</v>
      </c>
      <c r="O4" s="56">
        <f>I4*K4*N4</f>
        <v>46.153799999999997</v>
      </c>
      <c r="P4" s="57"/>
      <c r="Q4" s="49"/>
      <c r="R4" s="26"/>
      <c r="S4" s="8" t="s">
        <v>40</v>
      </c>
      <c r="T4" s="28">
        <v>75</v>
      </c>
      <c r="U4" s="10" t="s">
        <v>32</v>
      </c>
      <c r="W4" s="30" t="s">
        <v>43</v>
      </c>
      <c r="X4" t="s">
        <v>42</v>
      </c>
      <c r="Z4" s="8" t="s">
        <v>54</v>
      </c>
      <c r="AA4" s="8">
        <v>6</v>
      </c>
      <c r="AB4" s="10" t="s">
        <v>55</v>
      </c>
      <c r="AK4" s="27"/>
      <c r="AL4" s="26"/>
      <c r="AM4" s="26"/>
      <c r="AN4" s="26"/>
      <c r="AO4" s="26"/>
      <c r="AP4" s="27"/>
      <c r="AQ4" s="27"/>
    </row>
    <row r="5" spans="2:43" x14ac:dyDescent="0.3">
      <c r="B5" s="2" t="s">
        <v>9</v>
      </c>
      <c r="C5" s="6">
        <v>0.16</v>
      </c>
      <c r="F5" s="8">
        <v>2</v>
      </c>
      <c r="G5" s="15" t="s">
        <v>17</v>
      </c>
      <c r="H5" s="13"/>
      <c r="I5" s="56">
        <f>C5</f>
        <v>0.16</v>
      </c>
      <c r="J5" s="57"/>
      <c r="K5" s="56">
        <f xml:space="preserve"> ((4.67)*3.2) + (1.8 *3.2) + (4.67*3.2) + (1.75*0.14) - K8</f>
        <v>34.003</v>
      </c>
      <c r="L5" s="57"/>
      <c r="M5" s="23" t="s">
        <v>25</v>
      </c>
      <c r="N5" s="10">
        <v>0</v>
      </c>
      <c r="O5" s="56">
        <f t="shared" ref="O5" si="0">I5*K5*N5</f>
        <v>0</v>
      </c>
      <c r="P5" s="57"/>
      <c r="Q5" s="49"/>
      <c r="R5" s="26"/>
      <c r="AK5" s="27"/>
      <c r="AL5" s="26"/>
      <c r="AM5" s="26"/>
      <c r="AN5" s="26"/>
      <c r="AO5" s="26"/>
      <c r="AP5" s="27"/>
      <c r="AQ5" s="27"/>
    </row>
    <row r="6" spans="2:43" x14ac:dyDescent="0.3">
      <c r="B6" s="2" t="s">
        <v>6</v>
      </c>
      <c r="C6" s="6">
        <v>0.12</v>
      </c>
      <c r="F6" s="8">
        <v>3</v>
      </c>
      <c r="G6" s="15" t="s">
        <v>24</v>
      </c>
      <c r="H6" s="13"/>
      <c r="I6" s="56">
        <f>C5</f>
        <v>0.16</v>
      </c>
      <c r="J6" s="57"/>
      <c r="K6" s="56">
        <f xml:space="preserve"> (3.85*3.2)</f>
        <v>12.32</v>
      </c>
      <c r="L6" s="57"/>
      <c r="M6" s="23" t="s">
        <v>26</v>
      </c>
      <c r="N6" s="12">
        <v>-4</v>
      </c>
      <c r="O6" s="65">
        <f t="shared" ref="O6" si="1">I6*K6*N6</f>
        <v>-7.8848000000000003</v>
      </c>
      <c r="P6" s="66"/>
      <c r="Q6" s="50">
        <v>0</v>
      </c>
      <c r="R6" s="26"/>
      <c r="S6" s="8" t="s">
        <v>14</v>
      </c>
      <c r="T6" s="28">
        <v>30</v>
      </c>
      <c r="U6" s="8" t="s">
        <v>33</v>
      </c>
      <c r="Z6" s="33" t="s">
        <v>56</v>
      </c>
      <c r="AA6" s="34"/>
      <c r="AB6" s="35"/>
      <c r="AK6" s="27"/>
      <c r="AL6" s="27"/>
      <c r="AM6" s="27"/>
      <c r="AN6" s="27"/>
      <c r="AO6" s="27"/>
      <c r="AP6" s="27"/>
      <c r="AQ6" s="27"/>
    </row>
    <row r="7" spans="2:43" x14ac:dyDescent="0.3">
      <c r="B7" s="2" t="s">
        <v>18</v>
      </c>
      <c r="C7" s="6">
        <v>0.12</v>
      </c>
      <c r="F7" s="8">
        <v>4</v>
      </c>
      <c r="G7" s="15" t="s">
        <v>2</v>
      </c>
      <c r="H7" s="13"/>
      <c r="I7" s="56">
        <f>C4</f>
        <v>0.34</v>
      </c>
      <c r="J7" s="57"/>
      <c r="K7" s="56">
        <f xml:space="preserve"> (3.85 *3.2) + (1.5 *3.2) - K8</f>
        <v>15.23</v>
      </c>
      <c r="L7" s="57"/>
      <c r="M7" s="23" t="s">
        <v>26</v>
      </c>
      <c r="N7" s="12">
        <v>-4</v>
      </c>
      <c r="O7" s="65">
        <f t="shared" ref="O7:O13" si="2">I7*K7*N7</f>
        <v>-20.712800000000001</v>
      </c>
      <c r="P7" s="66"/>
      <c r="Q7" s="50">
        <v>0</v>
      </c>
      <c r="R7" s="26"/>
      <c r="S7" s="8" t="s">
        <v>34</v>
      </c>
      <c r="T7" s="10">
        <f>C13/100</f>
        <v>0.84</v>
      </c>
      <c r="U7" s="8" t="s">
        <v>35</v>
      </c>
      <c r="Z7" s="36" t="s">
        <v>57</v>
      </c>
      <c r="AB7" s="37"/>
      <c r="AK7" s="27"/>
      <c r="AL7" s="53"/>
      <c r="AM7" s="53"/>
      <c r="AN7" s="53"/>
      <c r="AO7" s="27"/>
      <c r="AP7" s="27"/>
      <c r="AQ7" s="27"/>
    </row>
    <row r="8" spans="2:43" x14ac:dyDescent="0.3">
      <c r="B8" s="2" t="s">
        <v>7</v>
      </c>
      <c r="C8" s="6">
        <v>0.12</v>
      </c>
      <c r="F8" s="8">
        <v>5</v>
      </c>
      <c r="G8" s="15" t="s">
        <v>27</v>
      </c>
      <c r="H8" s="13"/>
      <c r="I8" s="56">
        <f>C10</f>
        <v>2.4</v>
      </c>
      <c r="J8" s="57"/>
      <c r="K8" s="56">
        <f>(2.1 * 0.9)</f>
        <v>1.8900000000000001</v>
      </c>
      <c r="L8" s="57"/>
      <c r="M8" s="23" t="s">
        <v>25</v>
      </c>
      <c r="N8" s="10">
        <v>0</v>
      </c>
      <c r="O8" s="56">
        <f t="shared" si="2"/>
        <v>0</v>
      </c>
      <c r="P8" s="57"/>
      <c r="Q8" s="49"/>
      <c r="R8" s="26"/>
      <c r="S8" s="8" t="s">
        <v>35</v>
      </c>
      <c r="T8" s="8">
        <v>0.34</v>
      </c>
      <c r="U8" s="8" t="s">
        <v>35</v>
      </c>
      <c r="Z8" s="38" t="s">
        <v>58</v>
      </c>
      <c r="AA8" s="39"/>
      <c r="AB8" s="40"/>
      <c r="AK8" s="27"/>
      <c r="AL8" s="27"/>
      <c r="AM8" s="27"/>
      <c r="AN8" s="27"/>
      <c r="AO8" s="27"/>
      <c r="AP8" s="27"/>
      <c r="AQ8" s="27"/>
    </row>
    <row r="9" spans="2:43" x14ac:dyDescent="0.3">
      <c r="B9" s="2" t="s">
        <v>3</v>
      </c>
      <c r="C9" s="6">
        <v>1.32</v>
      </c>
      <c r="F9" s="8">
        <v>6</v>
      </c>
      <c r="G9" s="15" t="s">
        <v>28</v>
      </c>
      <c r="H9" s="13"/>
      <c r="I9" s="56">
        <v>2.4</v>
      </c>
      <c r="J9" s="57"/>
      <c r="K9" s="56">
        <f>(2.1 * 0.9)</f>
        <v>1.8900000000000001</v>
      </c>
      <c r="L9" s="57"/>
      <c r="M9" s="23" t="s">
        <v>26</v>
      </c>
      <c r="N9" s="12">
        <v>-4</v>
      </c>
      <c r="O9" s="65">
        <f t="shared" si="2"/>
        <v>-18.144000000000002</v>
      </c>
      <c r="P9" s="66"/>
      <c r="Q9" s="50">
        <v>0</v>
      </c>
      <c r="R9" s="26"/>
      <c r="AK9" s="27"/>
      <c r="AL9" s="27"/>
      <c r="AM9" s="27"/>
      <c r="AN9" s="27"/>
      <c r="AO9" s="27"/>
      <c r="AP9" s="27"/>
      <c r="AQ9" s="27"/>
    </row>
    <row r="10" spans="2:43" ht="15" thickBot="1" x14ac:dyDescent="0.35">
      <c r="B10" s="1" t="s">
        <v>1</v>
      </c>
      <c r="C10" s="7">
        <v>2.4</v>
      </c>
      <c r="F10" s="8">
        <v>7</v>
      </c>
      <c r="G10" s="15" t="s">
        <v>16</v>
      </c>
      <c r="H10" s="13"/>
      <c r="I10" s="56">
        <f>C9</f>
        <v>1.32</v>
      </c>
      <c r="J10" s="57"/>
      <c r="K10" s="56">
        <f>(2.85 * 2.5)</f>
        <v>7.125</v>
      </c>
      <c r="L10" s="57"/>
      <c r="M10" s="23" t="s">
        <v>29</v>
      </c>
      <c r="N10" s="10">
        <v>30</v>
      </c>
      <c r="O10" s="56">
        <f t="shared" si="2"/>
        <v>282.15000000000003</v>
      </c>
      <c r="P10" s="57"/>
      <c r="Q10" s="49"/>
      <c r="R10" s="26"/>
      <c r="W10" s="29" t="s">
        <v>41</v>
      </c>
      <c r="AD10" s="29" t="s">
        <v>63</v>
      </c>
      <c r="AK10" s="27"/>
      <c r="AL10" s="27"/>
      <c r="AM10" s="27"/>
      <c r="AN10" s="27"/>
      <c r="AO10" s="27"/>
      <c r="AP10" s="27"/>
      <c r="AQ10" s="27"/>
    </row>
    <row r="11" spans="2:43" ht="15" thickBot="1" x14ac:dyDescent="0.35">
      <c r="F11" s="8">
        <v>8</v>
      </c>
      <c r="G11" s="15" t="s">
        <v>21</v>
      </c>
      <c r="H11" s="13"/>
      <c r="I11" s="56">
        <f>C6</f>
        <v>0.12</v>
      </c>
      <c r="J11" s="57"/>
      <c r="K11" s="56">
        <f xml:space="preserve"> ((1.5 +1.8) *4.67) + (1.8 * 3.85)</f>
        <v>22.341000000000001</v>
      </c>
      <c r="L11" s="57"/>
      <c r="M11" s="23" t="s">
        <v>29</v>
      </c>
      <c r="N11" s="10">
        <v>30</v>
      </c>
      <c r="O11" s="56">
        <f t="shared" si="2"/>
        <v>80.427599999999998</v>
      </c>
      <c r="P11" s="57"/>
      <c r="Q11" s="49"/>
      <c r="R11" s="26"/>
      <c r="S11" s="9" t="s">
        <v>36</v>
      </c>
      <c r="T11" s="9"/>
      <c r="U11" s="9"/>
      <c r="W11" t="s">
        <v>48</v>
      </c>
      <c r="Z11" s="9" t="s">
        <v>61</v>
      </c>
      <c r="AA11" s="41"/>
      <c r="AB11" s="42"/>
      <c r="AD11" t="s">
        <v>62</v>
      </c>
      <c r="AF11" s="31" t="s">
        <v>64</v>
      </c>
      <c r="AG11" s="31"/>
      <c r="AH11" s="31"/>
      <c r="AK11" s="27"/>
      <c r="AL11" s="27"/>
      <c r="AM11" s="27"/>
      <c r="AN11" s="27"/>
      <c r="AO11" s="27"/>
      <c r="AP11" s="27"/>
      <c r="AQ11" s="27"/>
    </row>
    <row r="12" spans="2:43" ht="15" thickBot="1" x14ac:dyDescent="0.35">
      <c r="B12" t="s">
        <v>44</v>
      </c>
      <c r="C12" s="32" t="s">
        <v>45</v>
      </c>
      <c r="F12" s="8">
        <v>9</v>
      </c>
      <c r="G12" s="15" t="s">
        <v>18</v>
      </c>
      <c r="H12" s="13"/>
      <c r="I12" s="56">
        <f>C7</f>
        <v>0.12</v>
      </c>
      <c r="J12" s="57"/>
      <c r="K12" s="56">
        <f>K11-K13</f>
        <v>17.16</v>
      </c>
      <c r="L12" s="57"/>
      <c r="M12" s="23" t="s">
        <v>25</v>
      </c>
      <c r="N12" s="10">
        <v>0</v>
      </c>
      <c r="O12" s="56">
        <f t="shared" si="2"/>
        <v>0</v>
      </c>
      <c r="P12" s="57"/>
      <c r="Q12" s="49"/>
      <c r="R12" s="26"/>
      <c r="S12" s="9" t="s">
        <v>37</v>
      </c>
      <c r="T12" s="65">
        <f xml:space="preserve"> T8*T4*T6*(1-T7)</f>
        <v>122.40000000000005</v>
      </c>
      <c r="U12" s="66"/>
      <c r="Z12" s="9" t="s">
        <v>59</v>
      </c>
      <c r="AA12" s="54">
        <f>AA3*AA4</f>
        <v>108.44219999999999</v>
      </c>
      <c r="AB12" s="55"/>
      <c r="AF12" s="70" t="s">
        <v>59</v>
      </c>
      <c r="AG12" s="71">
        <f>O14+T12+AA12</f>
        <v>658.22519999999997</v>
      </c>
      <c r="AH12" s="72"/>
      <c r="AK12" s="27"/>
      <c r="AL12" s="27"/>
      <c r="AM12" s="27"/>
      <c r="AN12" s="27"/>
      <c r="AO12" s="27"/>
      <c r="AP12" s="27"/>
      <c r="AQ12" s="27"/>
    </row>
    <row r="13" spans="2:43" ht="15" thickBot="1" x14ac:dyDescent="0.35">
      <c r="B13" t="s">
        <v>46</v>
      </c>
      <c r="C13" s="32">
        <v>84</v>
      </c>
      <c r="D13" t="s">
        <v>47</v>
      </c>
      <c r="F13" s="8">
        <v>10</v>
      </c>
      <c r="G13" s="15" t="s">
        <v>22</v>
      </c>
      <c r="H13" s="13"/>
      <c r="I13" s="56">
        <f>C8</f>
        <v>0.12</v>
      </c>
      <c r="J13" s="57"/>
      <c r="K13" s="56">
        <f xml:space="preserve"> (1.57 * (1.8+1.5))</f>
        <v>5.181</v>
      </c>
      <c r="L13" s="57"/>
      <c r="M13" s="23" t="s">
        <v>29</v>
      </c>
      <c r="N13" s="10">
        <v>30</v>
      </c>
      <c r="O13" s="56">
        <f t="shared" si="2"/>
        <v>18.651599999999998</v>
      </c>
      <c r="P13" s="57"/>
      <c r="Q13" s="49"/>
      <c r="R13" s="26"/>
      <c r="AK13" s="27"/>
      <c r="AL13" s="27"/>
      <c r="AM13" s="27"/>
      <c r="AN13" s="27"/>
      <c r="AO13" s="27"/>
      <c r="AP13" s="27"/>
      <c r="AQ13" s="27"/>
    </row>
    <row r="14" spans="2:43" ht="15" thickBot="1" x14ac:dyDescent="0.35">
      <c r="F14" s="8"/>
      <c r="G14" s="15"/>
      <c r="H14" s="13"/>
      <c r="I14" s="56"/>
      <c r="J14" s="57"/>
      <c r="K14" s="14"/>
      <c r="L14" s="11"/>
      <c r="M14" s="11"/>
      <c r="N14" s="12" t="s">
        <v>31</v>
      </c>
      <c r="O14" s="65">
        <f xml:space="preserve"> SUM(O4+O5+Q6+Q7+O8+Q9+O10+O11+O12+O13)</f>
        <v>427.38299999999998</v>
      </c>
      <c r="P14" s="66"/>
      <c r="Q14" s="51"/>
      <c r="R14" s="26"/>
      <c r="AK14" s="27"/>
      <c r="AL14" s="27"/>
      <c r="AM14" s="27"/>
      <c r="AN14" s="27"/>
      <c r="AO14" s="52"/>
      <c r="AP14" s="27"/>
      <c r="AQ14" s="27"/>
    </row>
    <row r="15" spans="2:43" ht="15" thickBot="1" x14ac:dyDescent="0.35">
      <c r="B15" t="s">
        <v>84</v>
      </c>
      <c r="C15" s="32" t="s">
        <v>76</v>
      </c>
      <c r="O15" s="29" t="s">
        <v>50</v>
      </c>
      <c r="Q15" s="26"/>
      <c r="R15" s="26"/>
      <c r="AK15" s="27"/>
      <c r="AL15" s="27"/>
      <c r="AM15" s="27"/>
      <c r="AN15" s="27"/>
      <c r="AO15" s="27"/>
      <c r="AP15" s="27"/>
      <c r="AQ15" s="27"/>
    </row>
    <row r="16" spans="2:43" ht="15" thickBot="1" x14ac:dyDescent="0.35">
      <c r="O16" t="s">
        <v>51</v>
      </c>
      <c r="AK16" s="27"/>
      <c r="AL16" s="27"/>
      <c r="AM16" s="27"/>
      <c r="AN16" s="27"/>
      <c r="AO16" s="27"/>
      <c r="AP16" s="27"/>
      <c r="AQ16" s="27"/>
    </row>
    <row r="17" spans="2:43" ht="15" thickBot="1" x14ac:dyDescent="0.35">
      <c r="B17" t="s">
        <v>89</v>
      </c>
      <c r="C17" s="32" t="s">
        <v>91</v>
      </c>
      <c r="F17" s="43" t="s">
        <v>85</v>
      </c>
      <c r="G17" s="43"/>
      <c r="H17" s="43"/>
      <c r="S17" s="43" t="s">
        <v>86</v>
      </c>
      <c r="T17" s="43"/>
      <c r="U17" s="43"/>
      <c r="V17" s="43"/>
      <c r="Z17" s="43" t="s">
        <v>87</v>
      </c>
      <c r="AA17" s="43"/>
      <c r="AB17" s="47"/>
      <c r="AC17" s="47"/>
      <c r="AK17" s="27"/>
      <c r="AL17" s="27"/>
      <c r="AM17" s="27"/>
      <c r="AN17" s="27"/>
      <c r="AO17" s="27"/>
      <c r="AP17" s="27"/>
      <c r="AQ17" s="27"/>
    </row>
    <row r="18" spans="2:43" ht="15" thickBot="1" x14ac:dyDescent="0.35">
      <c r="B18" t="s">
        <v>92</v>
      </c>
      <c r="C18" s="32">
        <v>-10</v>
      </c>
      <c r="D18" t="s">
        <v>90</v>
      </c>
      <c r="F18" s="8" t="s">
        <v>10</v>
      </c>
      <c r="G18" s="8" t="s">
        <v>5</v>
      </c>
      <c r="H18" s="8"/>
      <c r="I18" s="8" t="s">
        <v>11</v>
      </c>
      <c r="J18" s="8"/>
      <c r="K18" s="8" t="s">
        <v>12</v>
      </c>
      <c r="L18" s="8"/>
      <c r="M18" s="9" t="s">
        <v>13</v>
      </c>
      <c r="N18" s="8" t="s">
        <v>14</v>
      </c>
      <c r="O18" s="8" t="s">
        <v>15</v>
      </c>
      <c r="P18" s="8"/>
      <c r="Q18" s="21"/>
      <c r="S18" s="8" t="s">
        <v>39</v>
      </c>
      <c r="T18" s="28">
        <f xml:space="preserve"> (3.58 * 1.23)*3.6</f>
        <v>15.852240000000002</v>
      </c>
      <c r="U18" s="10" t="s">
        <v>32</v>
      </c>
      <c r="W18" s="29" t="s">
        <v>49</v>
      </c>
      <c r="Z18" s="8" t="s">
        <v>52</v>
      </c>
      <c r="AA18" s="28">
        <f xml:space="preserve"> (3.58 * 1.23)</f>
        <v>4.4034000000000004</v>
      </c>
      <c r="AB18" s="10" t="s">
        <v>53</v>
      </c>
      <c r="AK18" s="26"/>
      <c r="AL18" s="26"/>
      <c r="AM18" s="26"/>
      <c r="AN18" s="26"/>
      <c r="AO18" s="26"/>
      <c r="AP18" s="26"/>
      <c r="AQ18" s="26"/>
    </row>
    <row r="19" spans="2:43" ht="15.6" x14ac:dyDescent="0.3">
      <c r="F19" s="8">
        <v>11</v>
      </c>
      <c r="G19" s="15" t="s">
        <v>8</v>
      </c>
      <c r="H19" s="13"/>
      <c r="I19" s="56">
        <f>C4</f>
        <v>0.34</v>
      </c>
      <c r="J19" s="57"/>
      <c r="K19" s="56">
        <f xml:space="preserve"> (1.5 * 3.2) + (3.85 *3.2) -K21</f>
        <v>15.23</v>
      </c>
      <c r="L19" s="57"/>
      <c r="M19" s="23" t="s">
        <v>19</v>
      </c>
      <c r="N19" s="10">
        <v>4</v>
      </c>
      <c r="O19" s="56">
        <f>I19*K19*N19</f>
        <v>20.712800000000001</v>
      </c>
      <c r="P19" s="57"/>
      <c r="Q19" s="18"/>
      <c r="S19" s="8" t="s">
        <v>40</v>
      </c>
      <c r="T19" s="28">
        <v>50</v>
      </c>
      <c r="U19" s="10" t="s">
        <v>32</v>
      </c>
      <c r="W19" s="30" t="s">
        <v>43</v>
      </c>
      <c r="X19" t="s">
        <v>42</v>
      </c>
      <c r="Z19" s="8" t="s">
        <v>54</v>
      </c>
      <c r="AA19" s="8">
        <v>6</v>
      </c>
      <c r="AB19" s="10" t="s">
        <v>55</v>
      </c>
      <c r="AK19" s="26"/>
      <c r="AL19" s="26"/>
      <c r="AM19" s="26"/>
      <c r="AN19" s="26"/>
      <c r="AO19" s="26"/>
      <c r="AP19" s="26"/>
      <c r="AQ19" s="26"/>
    </row>
    <row r="20" spans="2:43" x14ac:dyDescent="0.3">
      <c r="F20" s="8">
        <v>12</v>
      </c>
      <c r="G20" s="15" t="s">
        <v>17</v>
      </c>
      <c r="H20" s="13"/>
      <c r="I20" s="56">
        <f>C5</f>
        <v>0.16</v>
      </c>
      <c r="J20" s="57"/>
      <c r="K20" s="56">
        <f xml:space="preserve"> (1.5 * 3.2) + (3.85 *3.2)</f>
        <v>17.12</v>
      </c>
      <c r="L20" s="57"/>
      <c r="M20" s="23" t="s">
        <v>19</v>
      </c>
      <c r="N20" s="10">
        <v>4</v>
      </c>
      <c r="O20" s="56">
        <f>I20*K20*N20</f>
        <v>10.956800000000001</v>
      </c>
      <c r="P20" s="57"/>
      <c r="Q20" s="18"/>
      <c r="AK20" s="26"/>
      <c r="AL20" s="26"/>
      <c r="AM20" s="26"/>
      <c r="AN20" s="26"/>
      <c r="AO20" s="26"/>
      <c r="AP20" s="26"/>
      <c r="AQ20" s="26"/>
    </row>
    <row r="21" spans="2:43" x14ac:dyDescent="0.3">
      <c r="F21" s="8">
        <v>13</v>
      </c>
      <c r="G21" s="15" t="s">
        <v>1</v>
      </c>
      <c r="H21" s="13"/>
      <c r="I21" s="56">
        <f>C10</f>
        <v>2.4</v>
      </c>
      <c r="J21" s="57"/>
      <c r="K21" s="56">
        <f xml:space="preserve"> (2.1 * 0.9)</f>
        <v>1.8900000000000001</v>
      </c>
      <c r="L21" s="57"/>
      <c r="M21" s="23" t="s">
        <v>19</v>
      </c>
      <c r="N21" s="10">
        <v>4</v>
      </c>
      <c r="O21" s="56">
        <f>I21*K21*N21</f>
        <v>18.144000000000002</v>
      </c>
      <c r="P21" s="57"/>
      <c r="Q21" s="18"/>
      <c r="S21" s="8" t="s">
        <v>14</v>
      </c>
      <c r="T21" s="28">
        <v>34</v>
      </c>
      <c r="U21" s="8" t="s">
        <v>33</v>
      </c>
      <c r="Z21" s="33" t="s">
        <v>56</v>
      </c>
      <c r="AA21" s="34"/>
      <c r="AB21" s="35"/>
      <c r="AK21" s="26"/>
      <c r="AL21" s="26"/>
      <c r="AM21" s="26"/>
      <c r="AN21" s="26"/>
      <c r="AO21" s="26"/>
      <c r="AP21" s="26"/>
      <c r="AQ21" s="26"/>
    </row>
    <row r="22" spans="2:43" x14ac:dyDescent="0.3">
      <c r="F22" s="8">
        <v>14</v>
      </c>
      <c r="G22" s="15" t="s">
        <v>21</v>
      </c>
      <c r="H22" s="13"/>
      <c r="I22" s="56">
        <f>C6</f>
        <v>0.12</v>
      </c>
      <c r="J22" s="57"/>
      <c r="K22" s="56">
        <f xml:space="preserve"> (1.5 * 3.85)</f>
        <v>5.7750000000000004</v>
      </c>
      <c r="L22" s="57"/>
      <c r="M22" s="23" t="s">
        <v>23</v>
      </c>
      <c r="N22" s="10">
        <v>34</v>
      </c>
      <c r="O22" s="56">
        <f t="shared" ref="O22:O23" si="3">I22*K22*N22</f>
        <v>23.562000000000001</v>
      </c>
      <c r="P22" s="57"/>
      <c r="Q22" s="18"/>
      <c r="S22" s="8" t="s">
        <v>34</v>
      </c>
      <c r="T22" s="10">
        <f>C13/100</f>
        <v>0.84</v>
      </c>
      <c r="U22" s="8" t="s">
        <v>35</v>
      </c>
      <c r="Z22" s="36" t="s">
        <v>57</v>
      </c>
      <c r="AB22" s="37"/>
    </row>
    <row r="23" spans="2:43" x14ac:dyDescent="0.3">
      <c r="F23" s="19">
        <v>15</v>
      </c>
      <c r="G23" s="16" t="s">
        <v>18</v>
      </c>
      <c r="H23" s="20"/>
      <c r="I23" s="56">
        <f>C7</f>
        <v>0.12</v>
      </c>
      <c r="J23" s="57"/>
      <c r="K23" s="56">
        <f>(1.5 * 3.85)</f>
        <v>5.7750000000000004</v>
      </c>
      <c r="L23" s="57"/>
      <c r="M23" s="24" t="s">
        <v>20</v>
      </c>
      <c r="N23" s="17">
        <v>0</v>
      </c>
      <c r="O23" s="56">
        <f t="shared" si="3"/>
        <v>0</v>
      </c>
      <c r="P23" s="57"/>
      <c r="Q23" s="18"/>
      <c r="S23" s="8" t="s">
        <v>35</v>
      </c>
      <c r="T23" s="8">
        <v>0.34</v>
      </c>
      <c r="U23" s="8" t="s">
        <v>35</v>
      </c>
      <c r="Z23" s="38" t="s">
        <v>58</v>
      </c>
      <c r="AA23" s="39"/>
      <c r="AB23" s="40"/>
    </row>
    <row r="24" spans="2:43" x14ac:dyDescent="0.3">
      <c r="F24" s="8"/>
      <c r="G24" s="15"/>
      <c r="H24" s="13"/>
      <c r="I24" s="22"/>
      <c r="J24" s="25"/>
      <c r="K24" s="14"/>
      <c r="L24" s="11"/>
      <c r="M24" s="11"/>
      <c r="N24" s="12" t="s">
        <v>31</v>
      </c>
      <c r="O24" s="65">
        <f xml:space="preserve"> SUM(O19:P23)</f>
        <v>73.375600000000006</v>
      </c>
      <c r="P24" s="66"/>
      <c r="Q24" s="18"/>
    </row>
    <row r="25" spans="2:43" x14ac:dyDescent="0.3">
      <c r="O25" s="29" t="s">
        <v>50</v>
      </c>
      <c r="W25" s="29" t="s">
        <v>41</v>
      </c>
      <c r="AD25" s="29" t="s">
        <v>63</v>
      </c>
    </row>
    <row r="26" spans="2:43" x14ac:dyDescent="0.3">
      <c r="O26" t="s">
        <v>51</v>
      </c>
      <c r="S26" s="9" t="s">
        <v>36</v>
      </c>
      <c r="T26" s="9"/>
      <c r="U26" s="9"/>
      <c r="W26" t="s">
        <v>48</v>
      </c>
      <c r="Z26" s="9" t="s">
        <v>61</v>
      </c>
      <c r="AA26" s="41"/>
      <c r="AB26" s="42"/>
      <c r="AD26" t="s">
        <v>62</v>
      </c>
      <c r="AF26" s="31" t="s">
        <v>64</v>
      </c>
      <c r="AG26" s="31"/>
      <c r="AH26" s="31"/>
    </row>
    <row r="27" spans="2:43" x14ac:dyDescent="0.3">
      <c r="S27" s="9" t="s">
        <v>37</v>
      </c>
      <c r="T27" s="65">
        <f xml:space="preserve"> T23*T19*T21*(1-T22)</f>
        <v>92.480000000000018</v>
      </c>
      <c r="U27" s="66"/>
      <c r="Z27" s="9" t="s">
        <v>59</v>
      </c>
      <c r="AA27" s="54">
        <f>AA18*AA19</f>
        <v>26.420400000000001</v>
      </c>
      <c r="AB27" s="55"/>
      <c r="AF27" s="70" t="s">
        <v>59</v>
      </c>
      <c r="AG27" s="71">
        <f>O24+T27+AA27</f>
        <v>192.27600000000004</v>
      </c>
      <c r="AH27" s="72"/>
    </row>
    <row r="33" spans="6:23" x14ac:dyDescent="0.3">
      <c r="F33" s="58" t="s">
        <v>96</v>
      </c>
      <c r="G33" s="58"/>
      <c r="H33" s="58"/>
      <c r="I33" s="58"/>
      <c r="M33" s="58" t="s">
        <v>97</v>
      </c>
      <c r="N33" s="58"/>
      <c r="O33" s="58"/>
      <c r="P33" s="58"/>
      <c r="S33" s="58" t="s">
        <v>98</v>
      </c>
      <c r="T33" s="58"/>
      <c r="U33" s="58"/>
      <c r="V33" s="58"/>
    </row>
    <row r="34" spans="6:23" x14ac:dyDescent="0.3">
      <c r="F34" s="44" t="s">
        <v>65</v>
      </c>
      <c r="G34" s="44"/>
      <c r="H34" s="44"/>
      <c r="I34" s="46">
        <f>AG12+AG27</f>
        <v>850.50120000000004</v>
      </c>
      <c r="J34" s="8" t="s">
        <v>74</v>
      </c>
      <c r="M34" s="59" t="s">
        <v>75</v>
      </c>
      <c r="N34" s="60"/>
      <c r="O34" s="61"/>
      <c r="P34" s="46">
        <f>AG12</f>
        <v>658.22519999999997</v>
      </c>
      <c r="Q34" s="8" t="s">
        <v>74</v>
      </c>
      <c r="S34" s="59" t="s">
        <v>75</v>
      </c>
      <c r="T34" s="60"/>
      <c r="U34" s="61"/>
      <c r="V34" s="46">
        <f>AG27</f>
        <v>192.27600000000004</v>
      </c>
      <c r="W34" s="8" t="s">
        <v>74</v>
      </c>
    </row>
    <row r="35" spans="6:23" x14ac:dyDescent="0.3">
      <c r="M35" s="59" t="s">
        <v>77</v>
      </c>
      <c r="N35" s="60"/>
      <c r="O35" s="61"/>
      <c r="P35" s="46">
        <f>AA3-((0.6*2.39)+(0.6*1.2))</f>
        <v>15.919699999999999</v>
      </c>
      <c r="Q35" s="8" t="s">
        <v>53</v>
      </c>
      <c r="S35" s="59" t="s">
        <v>77</v>
      </c>
      <c r="T35" s="60"/>
      <c r="U35" s="61"/>
      <c r="V35" s="46">
        <f>AA18 - (0.9*0.9)</f>
        <v>3.5934000000000004</v>
      </c>
      <c r="W35" s="8" t="s">
        <v>53</v>
      </c>
    </row>
    <row r="36" spans="6:23" x14ac:dyDescent="0.3">
      <c r="F36" s="29" t="s">
        <v>66</v>
      </c>
      <c r="H36" s="29"/>
      <c r="M36" s="62" t="s">
        <v>78</v>
      </c>
      <c r="N36" s="63"/>
      <c r="O36" s="64"/>
      <c r="P36" s="45">
        <f xml:space="preserve"> P34/P35</f>
        <v>41.346583164255613</v>
      </c>
      <c r="Q36" s="9" t="s">
        <v>55</v>
      </c>
      <c r="S36" s="62" t="s">
        <v>78</v>
      </c>
      <c r="T36" s="63"/>
      <c r="U36" s="64"/>
      <c r="V36" s="45">
        <f xml:space="preserve"> V34/V35</f>
        <v>53.508098179996665</v>
      </c>
      <c r="W36" s="9" t="s">
        <v>55</v>
      </c>
    </row>
    <row r="37" spans="6:23" x14ac:dyDescent="0.3">
      <c r="F37" t="s">
        <v>67</v>
      </c>
    </row>
    <row r="38" spans="6:23" x14ac:dyDescent="0.3">
      <c r="M38" s="29" t="s">
        <v>102</v>
      </c>
      <c r="N38" s="29"/>
      <c r="O38" s="29"/>
      <c r="S38" s="29" t="s">
        <v>102</v>
      </c>
      <c r="T38" s="29"/>
      <c r="U38" s="29"/>
    </row>
    <row r="39" spans="6:23" ht="15.6" x14ac:dyDescent="0.3">
      <c r="F39" s="44" t="s">
        <v>68</v>
      </c>
      <c r="G39" s="44"/>
      <c r="H39" s="44"/>
      <c r="I39" s="44">
        <f>I34*1.1</f>
        <v>935.55132000000015</v>
      </c>
      <c r="J39" s="8" t="s">
        <v>74</v>
      </c>
    </row>
    <row r="40" spans="6:23" x14ac:dyDescent="0.3">
      <c r="M40" s="67" t="s">
        <v>79</v>
      </c>
      <c r="N40" s="68"/>
      <c r="O40" s="69"/>
      <c r="P40" s="10" t="s">
        <v>93</v>
      </c>
      <c r="Q40" s="21"/>
      <c r="S40" s="67" t="s">
        <v>79</v>
      </c>
      <c r="T40" s="68"/>
      <c r="U40" s="69"/>
      <c r="V40" s="10" t="s">
        <v>101</v>
      </c>
      <c r="W40" s="21"/>
    </row>
    <row r="41" spans="6:23" x14ac:dyDescent="0.3">
      <c r="F41" s="29" t="s">
        <v>69</v>
      </c>
      <c r="H41" s="29"/>
      <c r="Q41" s="21"/>
      <c r="W41" s="21"/>
    </row>
    <row r="42" spans="6:23" x14ac:dyDescent="0.3">
      <c r="F42" t="s">
        <v>70</v>
      </c>
      <c r="M42" s="29" t="s">
        <v>94</v>
      </c>
      <c r="N42" s="29"/>
      <c r="O42" s="29"/>
      <c r="P42" s="29"/>
      <c r="S42" s="29" t="s">
        <v>94</v>
      </c>
      <c r="T42" s="29"/>
      <c r="U42" s="29"/>
      <c r="V42" s="29"/>
    </row>
    <row r="44" spans="6:23" x14ac:dyDescent="0.3">
      <c r="F44" s="59" t="s">
        <v>71</v>
      </c>
      <c r="G44" s="60"/>
      <c r="H44" s="61"/>
      <c r="I44" s="44">
        <v>2300</v>
      </c>
      <c r="J44" s="8" t="s">
        <v>74</v>
      </c>
      <c r="M44" s="59" t="s">
        <v>80</v>
      </c>
      <c r="N44" s="60"/>
      <c r="O44" s="61"/>
      <c r="P44" s="10">
        <v>200</v>
      </c>
      <c r="Q44" s="8" t="s">
        <v>73</v>
      </c>
      <c r="S44" s="59" t="s">
        <v>80</v>
      </c>
      <c r="T44" s="60"/>
      <c r="U44" s="61"/>
      <c r="V44" s="10">
        <v>100</v>
      </c>
      <c r="W44" s="8" t="s">
        <v>73</v>
      </c>
    </row>
    <row r="45" spans="6:23" x14ac:dyDescent="0.3">
      <c r="F45" s="62" t="s">
        <v>72</v>
      </c>
      <c r="G45" s="63"/>
      <c r="H45" s="64"/>
      <c r="I45" s="45">
        <f>I44+I39</f>
        <v>3235.55132</v>
      </c>
      <c r="J45" s="9" t="s">
        <v>74</v>
      </c>
      <c r="M45" s="59" t="s">
        <v>81</v>
      </c>
      <c r="N45" s="60"/>
      <c r="O45" s="61"/>
      <c r="P45" s="8">
        <v>43</v>
      </c>
      <c r="Q45" s="8" t="s">
        <v>55</v>
      </c>
      <c r="S45" s="59" t="s">
        <v>81</v>
      </c>
      <c r="T45" s="60"/>
      <c r="U45" s="61"/>
      <c r="V45" s="8">
        <v>54</v>
      </c>
      <c r="W45" s="8" t="s">
        <v>55</v>
      </c>
    </row>
    <row r="47" spans="6:23" x14ac:dyDescent="0.3">
      <c r="M47" s="29" t="s">
        <v>95</v>
      </c>
      <c r="N47" s="29"/>
      <c r="O47" s="29"/>
      <c r="P47" s="29"/>
      <c r="S47" s="29" t="s">
        <v>95</v>
      </c>
      <c r="T47" s="29"/>
      <c r="U47" s="29"/>
      <c r="V47" s="29"/>
    </row>
    <row r="49" spans="13:23" x14ac:dyDescent="0.3">
      <c r="M49" s="59" t="s">
        <v>82</v>
      </c>
      <c r="N49" s="60"/>
      <c r="O49" s="61"/>
      <c r="P49" s="28">
        <f>P45*P35</f>
        <v>684.5471</v>
      </c>
      <c r="Q49" s="8" t="s">
        <v>74</v>
      </c>
      <c r="S49" s="59" t="s">
        <v>82</v>
      </c>
      <c r="T49" s="60"/>
      <c r="U49" s="61"/>
      <c r="V49" s="28">
        <f>V45*V35</f>
        <v>194.04360000000003</v>
      </c>
      <c r="W49" s="8" t="s">
        <v>74</v>
      </c>
    </row>
    <row r="50" spans="13:23" x14ac:dyDescent="0.3">
      <c r="M50" s="62" t="s">
        <v>83</v>
      </c>
      <c r="N50" s="63"/>
      <c r="O50" s="64"/>
      <c r="P50" s="45">
        <f>P34-P49</f>
        <v>-26.321900000000028</v>
      </c>
      <c r="Q50" s="9" t="s">
        <v>74</v>
      </c>
      <c r="S50" s="62" t="s">
        <v>83</v>
      </c>
      <c r="T50" s="63"/>
      <c r="U50" s="64"/>
      <c r="V50" s="45">
        <f>V34-V49</f>
        <v>-1.7675999999999874</v>
      </c>
      <c r="W50" s="9" t="s">
        <v>74</v>
      </c>
    </row>
    <row r="52" spans="13:23" x14ac:dyDescent="0.3">
      <c r="M52" s="29" t="s">
        <v>99</v>
      </c>
      <c r="N52" s="29"/>
      <c r="O52" s="29"/>
      <c r="P52" s="29"/>
      <c r="S52" s="29" t="s">
        <v>100</v>
      </c>
      <c r="T52" s="29"/>
      <c r="U52" s="29"/>
      <c r="V52" s="29"/>
    </row>
  </sheetData>
  <mergeCells count="75">
    <mergeCell ref="M44:O44"/>
    <mergeCell ref="M45:O45"/>
    <mergeCell ref="M49:O49"/>
    <mergeCell ref="M50:O50"/>
    <mergeCell ref="S33:V33"/>
    <mergeCell ref="S34:U34"/>
    <mergeCell ref="S35:U35"/>
    <mergeCell ref="S36:U36"/>
    <mergeCell ref="S40:U40"/>
    <mergeCell ref="S44:U44"/>
    <mergeCell ref="S45:U45"/>
    <mergeCell ref="S49:U49"/>
    <mergeCell ref="S50:U50"/>
    <mergeCell ref="M33:P33"/>
    <mergeCell ref="M35:O35"/>
    <mergeCell ref="O4:P4"/>
    <mergeCell ref="O5:P5"/>
    <mergeCell ref="O6:P6"/>
    <mergeCell ref="O7:P7"/>
    <mergeCell ref="O8:P8"/>
    <mergeCell ref="O9:P9"/>
    <mergeCell ref="O10:P10"/>
    <mergeCell ref="K19:L19"/>
    <mergeCell ref="O11:P11"/>
    <mergeCell ref="O12:P12"/>
    <mergeCell ref="O13:P13"/>
    <mergeCell ref="I19:J19"/>
    <mergeCell ref="I13:J13"/>
    <mergeCell ref="I12:J12"/>
    <mergeCell ref="K12:L12"/>
    <mergeCell ref="K9:L9"/>
    <mergeCell ref="K13:L13"/>
    <mergeCell ref="I6:J6"/>
    <mergeCell ref="K6:L6"/>
    <mergeCell ref="I11:J11"/>
    <mergeCell ref="K8:L8"/>
    <mergeCell ref="I4:J4"/>
    <mergeCell ref="I5:J5"/>
    <mergeCell ref="I7:J7"/>
    <mergeCell ref="I8:J8"/>
    <mergeCell ref="K4:L4"/>
    <mergeCell ref="K5:L5"/>
    <mergeCell ref="K7:L7"/>
    <mergeCell ref="I10:J10"/>
    <mergeCell ref="I9:J9"/>
    <mergeCell ref="K10:L10"/>
    <mergeCell ref="K11:L11"/>
    <mergeCell ref="F33:I33"/>
    <mergeCell ref="F44:H44"/>
    <mergeCell ref="F45:H45"/>
    <mergeCell ref="T12:U12"/>
    <mergeCell ref="T27:U27"/>
    <mergeCell ref="M36:O36"/>
    <mergeCell ref="M40:O40"/>
    <mergeCell ref="M34:O34"/>
    <mergeCell ref="I14:J14"/>
    <mergeCell ref="O24:P24"/>
    <mergeCell ref="I23:J23"/>
    <mergeCell ref="K22:L22"/>
    <mergeCell ref="K23:L23"/>
    <mergeCell ref="I20:J20"/>
    <mergeCell ref="I21:J21"/>
    <mergeCell ref="I22:J22"/>
    <mergeCell ref="AA12:AB12"/>
    <mergeCell ref="AA27:AB27"/>
    <mergeCell ref="AG12:AH12"/>
    <mergeCell ref="AG27:AH27"/>
    <mergeCell ref="K21:L21"/>
    <mergeCell ref="O23:P23"/>
    <mergeCell ref="O14:P14"/>
    <mergeCell ref="O20:P20"/>
    <mergeCell ref="O21:P21"/>
    <mergeCell ref="O22:P22"/>
    <mergeCell ref="K20:L20"/>
    <mergeCell ref="O19:P19"/>
  </mergeCells>
  <pageMargins left="0.7" right="0.7" top="0.75" bottom="0.75" header="0.3" footer="0.3"/>
  <ignoredErrors>
    <ignoredError sqref="I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Hoofdgebruiker</dc:creator>
  <cp:lastModifiedBy>Simon Senesael</cp:lastModifiedBy>
  <dcterms:created xsi:type="dcterms:W3CDTF">2023-05-22T11:51:26Z</dcterms:created>
  <dcterms:modified xsi:type="dcterms:W3CDTF">2023-05-28T11:45:10Z</dcterms:modified>
</cp:coreProperties>
</file>